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90" windowWidth="19155" windowHeight="1890" activeTab="3"/>
  </bookViews>
  <sheets>
    <sheet name="P3-3" sheetId="1" r:id="rId1"/>
    <sheet name="P3-6" sheetId="2" r:id="rId2"/>
    <sheet name="P3-10" sheetId="3" r:id="rId3"/>
    <sheet name="P3-16" sheetId="4" r:id="rId4"/>
    <sheet name="P3-18" sheetId="5" r:id="rId5"/>
    <sheet name="P3-20" sheetId="6" r:id="rId6"/>
    <sheet name="P3-21" sheetId="7" r:id="rId7"/>
  </sheets>
  <calcPr calcId="144525"/>
</workbook>
</file>

<file path=xl/calcChain.xml><?xml version="1.0" encoding="utf-8"?>
<calcChain xmlns="http://schemas.openxmlformats.org/spreadsheetml/2006/main">
  <c r="C7" i="4" l="1"/>
  <c r="C6" i="4"/>
  <c r="D21" i="6"/>
  <c r="D20" i="6"/>
  <c r="D12" i="6"/>
  <c r="D13" i="6"/>
  <c r="D14" i="6"/>
  <c r="D18" i="6"/>
  <c r="D19" i="6" s="1"/>
  <c r="D17" i="6"/>
  <c r="D16" i="6"/>
  <c r="D15" i="6"/>
  <c r="D10" i="6"/>
  <c r="D11" i="6"/>
  <c r="D8" i="6"/>
  <c r="D7" i="6"/>
  <c r="E27" i="7"/>
  <c r="E26" i="7"/>
  <c r="F27" i="7"/>
  <c r="F26" i="7"/>
  <c r="F23" i="7"/>
  <c r="F22" i="7"/>
  <c r="E23" i="7"/>
  <c r="E22" i="7"/>
  <c r="E15" i="7"/>
  <c r="E14" i="7"/>
  <c r="F14" i="7" s="1"/>
  <c r="E19" i="7"/>
  <c r="F19" i="7" s="1"/>
  <c r="E18" i="7"/>
  <c r="F18" i="7" s="1"/>
  <c r="F15" i="7"/>
  <c r="E9" i="7"/>
  <c r="E8" i="7"/>
  <c r="F5" i="7"/>
  <c r="E5" i="7"/>
  <c r="F4" i="7"/>
  <c r="E4" i="7"/>
  <c r="D6" i="5"/>
  <c r="D5" i="5"/>
  <c r="D4" i="5"/>
  <c r="D36" i="3"/>
  <c r="D24" i="3"/>
  <c r="D27" i="3" s="1"/>
  <c r="E14" i="3"/>
  <c r="E9" i="3"/>
  <c r="E16" i="3" s="1"/>
  <c r="H23" i="2" l="1"/>
  <c r="H12" i="2"/>
  <c r="H16" i="2" s="1"/>
  <c r="H25" i="2" s="1"/>
  <c r="D21" i="2"/>
  <c r="E23" i="2" s="1"/>
  <c r="E12" i="2"/>
  <c r="E22" i="1"/>
  <c r="E21" i="1"/>
  <c r="E20" i="1"/>
  <c r="E19" i="1"/>
  <c r="D15" i="1"/>
  <c r="D9" i="1"/>
  <c r="E25" i="2" l="1"/>
</calcChain>
</file>

<file path=xl/sharedStrings.xml><?xml version="1.0" encoding="utf-8"?>
<sst xmlns="http://schemas.openxmlformats.org/spreadsheetml/2006/main" count="182" uniqueCount="157">
  <si>
    <t>P3-3</t>
  </si>
  <si>
    <t xml:space="preserve">Income statement preparation </t>
  </si>
  <si>
    <t xml:space="preserve"> </t>
  </si>
  <si>
    <t>Cathy Chen</t>
  </si>
  <si>
    <t xml:space="preserve">Income Statement </t>
  </si>
  <si>
    <t>For the year ended December 31, 2015</t>
  </si>
  <si>
    <t>Less: Operating Expenses</t>
  </si>
  <si>
    <t>Book Keeper salary</t>
  </si>
  <si>
    <t>Ms. Chen salary</t>
  </si>
  <si>
    <t>Employment taxes and benefits</t>
  </si>
  <si>
    <t>Travel &amp; Entertainment expense</t>
  </si>
  <si>
    <t xml:space="preserve">Lease payment </t>
  </si>
  <si>
    <t xml:space="preserve">Depreciation expense </t>
  </si>
  <si>
    <t>Interest on loan</t>
  </si>
  <si>
    <t>Total expenses</t>
  </si>
  <si>
    <t>Net Profit before tax</t>
  </si>
  <si>
    <t>Net Profit after tax</t>
  </si>
  <si>
    <t>a</t>
  </si>
  <si>
    <t>b</t>
  </si>
  <si>
    <t>Less: Income Tax (30%)</t>
  </si>
  <si>
    <t>Total Service Revenue</t>
  </si>
  <si>
    <t xml:space="preserve"> = Total expenses - Total Sales revenue</t>
  </si>
  <si>
    <t xml:space="preserve"> = 30% of Net Profit before tax</t>
  </si>
  <si>
    <t xml:space="preserve"> = Net Profit before tax - Income tax</t>
  </si>
  <si>
    <t xml:space="preserve">Balance sheet preparation </t>
  </si>
  <si>
    <t>P3-6</t>
  </si>
  <si>
    <t>Mellark’s Baked Goods</t>
  </si>
  <si>
    <t>As at December 31, 2015</t>
  </si>
  <si>
    <t>Assets</t>
  </si>
  <si>
    <t>Current Assets</t>
  </si>
  <si>
    <t>Current Liabilities</t>
  </si>
  <si>
    <t>Cash</t>
  </si>
  <si>
    <t>Accounts receivables</t>
  </si>
  <si>
    <t>Inventories</t>
  </si>
  <si>
    <t>Marketable securities</t>
  </si>
  <si>
    <t>Property, Land and Equipment</t>
  </si>
  <si>
    <t>Buildings</t>
  </si>
  <si>
    <t>Equipment</t>
  </si>
  <si>
    <t>Furniture and Fixtures</t>
  </si>
  <si>
    <t>Land</t>
  </si>
  <si>
    <t>Vehicles</t>
  </si>
  <si>
    <t>Accumulated Depreciation</t>
  </si>
  <si>
    <t xml:space="preserve">     Total Current Assets</t>
  </si>
  <si>
    <t xml:space="preserve">     Total Property, Land and Equipment</t>
  </si>
  <si>
    <t xml:space="preserve">     Net Property, Land and Equipment</t>
  </si>
  <si>
    <t>Total Assets</t>
  </si>
  <si>
    <t>Accounts payable</t>
  </si>
  <si>
    <t>Accruals</t>
  </si>
  <si>
    <t>Notes Payable</t>
  </si>
  <si>
    <t>Liabilities &amp; Stockholders Equity</t>
  </si>
  <si>
    <t xml:space="preserve">Liabilities  </t>
  </si>
  <si>
    <t>Stockholder's Equity</t>
  </si>
  <si>
    <t>Common Stock (at par)</t>
  </si>
  <si>
    <t>Paid-in Capital in Excess</t>
  </si>
  <si>
    <t>Retained Earnings</t>
  </si>
  <si>
    <t xml:space="preserve">     Total Current Liabilities</t>
  </si>
  <si>
    <t xml:space="preserve">     Long-term Debts</t>
  </si>
  <si>
    <t xml:space="preserve">     Total Stockholders Equity</t>
  </si>
  <si>
    <t>Total Liabilities &amp; Stockholders Equity</t>
  </si>
  <si>
    <t>Total Liabilities</t>
  </si>
  <si>
    <t>P3-10</t>
  </si>
  <si>
    <t>Hayes Enterprises</t>
  </si>
  <si>
    <t>Retained earnings as at January 1,2015</t>
  </si>
  <si>
    <t>Add: Net profit after tax,2015</t>
  </si>
  <si>
    <t xml:space="preserve">     Total</t>
  </si>
  <si>
    <t>Less: Cash Dividends</t>
  </si>
  <si>
    <t>Common Stock</t>
  </si>
  <si>
    <t>Retained Earnings as at December 31, 2015</t>
  </si>
  <si>
    <t xml:space="preserve">Common stock Cash = Net profits after taxes – preferred dividends – change in retained earnings </t>
  </si>
  <si>
    <t>Simplified as $377,000 – $47,000 – (1,048,000 – $928,000) = $210,000</t>
  </si>
  <si>
    <t>Earnings per Share 2015</t>
  </si>
  <si>
    <t>Input</t>
  </si>
  <si>
    <t>Net Income 2015</t>
  </si>
  <si>
    <t xml:space="preserve">Statement of retained earnings </t>
  </si>
  <si>
    <t>Number of common Stock</t>
  </si>
  <si>
    <t>Earnings per Share 2015; EPS</t>
  </si>
  <si>
    <t>c</t>
  </si>
  <si>
    <t>How large a per-share cash dividend did the firm pay on common stock during 2015</t>
  </si>
  <si>
    <t>Dividends on Common Stock</t>
  </si>
  <si>
    <t>Number of Common Stock</t>
  </si>
  <si>
    <t>Dividend per Share</t>
  </si>
  <si>
    <t>Inputs</t>
  </si>
  <si>
    <t>Results</t>
  </si>
  <si>
    <t xml:space="preserve">Accounts receivable management </t>
  </si>
  <si>
    <t>P3-16</t>
  </si>
  <si>
    <t>Annual Sales</t>
  </si>
  <si>
    <t>Average collection time period</t>
  </si>
  <si>
    <t>days</t>
  </si>
  <si>
    <t>P3-18</t>
  </si>
  <si>
    <t xml:space="preserve">Debt analysis </t>
  </si>
  <si>
    <t>P3-20</t>
  </si>
  <si>
    <t xml:space="preserve">Common-size statement analysis </t>
  </si>
  <si>
    <t>P3-21</t>
  </si>
  <si>
    <t xml:space="preserve">The relationship between financial leverage and profitability </t>
  </si>
  <si>
    <t>Average Debt</t>
  </si>
  <si>
    <t xml:space="preserve"> = Total Liabilities/Total Assets</t>
  </si>
  <si>
    <t>Ratio</t>
  </si>
  <si>
    <t>Times Interest</t>
  </si>
  <si>
    <t>Industrial Averages</t>
  </si>
  <si>
    <t>Fixed Payment Coverage</t>
  </si>
  <si>
    <t>Comparison</t>
  </si>
  <si>
    <t>Lower</t>
  </si>
  <si>
    <t>Higher</t>
  </si>
  <si>
    <t xml:space="preserve"> = (EBIT &amp; Tax + Lease Payment)/((Lease Payments+ Interest)+((Principal + Preferred Dividends)*(1/(1-t))))</t>
  </si>
  <si>
    <t>Debt Ratio</t>
  </si>
  <si>
    <t>Pelican</t>
  </si>
  <si>
    <t>Timberland</t>
  </si>
  <si>
    <t xml:space="preserve"> = Earnings before Interest &amp; Tax/Interest Expenses</t>
  </si>
  <si>
    <t>Operating profit margin</t>
  </si>
  <si>
    <t>Net profit margin</t>
  </si>
  <si>
    <t>Return on total assets</t>
  </si>
  <si>
    <t xml:space="preserve"> = Earnings available for common stockholder/sales</t>
  </si>
  <si>
    <t xml:space="preserve"> = Operating profit/sales</t>
  </si>
  <si>
    <t xml:space="preserve"> = Earnings available for common stockholder/Total Assets</t>
  </si>
  <si>
    <t>Creek Enterprise</t>
  </si>
  <si>
    <t>Common-Size Income Statement</t>
  </si>
  <si>
    <t>Sales Revenue ($30,000,000)</t>
  </si>
  <si>
    <t>Less: Cost of goods sold</t>
  </si>
  <si>
    <t xml:space="preserve">     Gross profit</t>
  </si>
  <si>
    <t>Less: Operating expenses</t>
  </si>
  <si>
    <t xml:space="preserve">    Selling Expenses</t>
  </si>
  <si>
    <t xml:space="preserve">    Lease expense</t>
  </si>
  <si>
    <t xml:space="preserve">    Depreciation expense</t>
  </si>
  <si>
    <t xml:space="preserve">        Total operating expenses</t>
  </si>
  <si>
    <t xml:space="preserve">    Operating profits</t>
  </si>
  <si>
    <t>Less: Interest expense</t>
  </si>
  <si>
    <t xml:space="preserve">    Net Profit before tax</t>
  </si>
  <si>
    <t>Less: Taxes(40%)</t>
  </si>
  <si>
    <t xml:space="preserve">    Net Profit after tax</t>
  </si>
  <si>
    <t xml:space="preserve">    Earnings available for common stockholders</t>
  </si>
  <si>
    <t xml:space="preserve">The operating expense as a percentage of sales also decreased </t>
  </si>
  <si>
    <t xml:space="preserve">    General and administrative expenses</t>
  </si>
  <si>
    <t>Balance Sheet: Value ($000)</t>
  </si>
  <si>
    <t>Machinery</t>
  </si>
  <si>
    <t>Preferred Stock</t>
  </si>
  <si>
    <t>Statement of Retained Earnings</t>
  </si>
  <si>
    <t>For the year ended December 31,2015</t>
  </si>
  <si>
    <t>Less: Preferred Dividends</t>
  </si>
  <si>
    <t xml:space="preserve">        Available income for common stakeholders</t>
  </si>
  <si>
    <t>Ms. Chan had a successful first year in business. She was able to pay herself and the employees, cover all expenses from revenue accumulated and still make a significant annual profit of $38500.</t>
  </si>
  <si>
    <t>Clerical Assistant's salary</t>
  </si>
  <si>
    <t>Office supplies (postage inclusive)</t>
  </si>
  <si>
    <t>Accounts Receivables</t>
  </si>
  <si>
    <t>Accounts receivables turnover ratio</t>
  </si>
  <si>
    <t xml:space="preserve"> = Accounts Receivables/Average Sales per day = 300000/(2400000/365)</t>
  </si>
  <si>
    <t xml:space="preserve">Given the average collection period that exceeds the 30-day period set by over 15days, it implies the need to review the management of accounts receivables. </t>
  </si>
  <si>
    <t>The validity of the conclusion above would be affected if 70% of the sales occurs between July and December. It affects the average collection period where it is overstated. The information given cannot be a god measure of the firm's average accounts receivables.</t>
  </si>
  <si>
    <t>Creek Enterprises has a high indebtness degree and low ability to service debt when compared to the industrial averages. Therefore, the loan should not be granted.</t>
  </si>
  <si>
    <t>Less: Preferred stock dividends</t>
  </si>
  <si>
    <t xml:space="preserve">The sales revenue decreased which increased the percentage associated with the cost of good sold which possible influencing factors such as declined productive efficiency, </t>
  </si>
  <si>
    <t xml:space="preserve">The level of interest as a percentage of sales increased which could have been influenced by the high debt. </t>
  </si>
  <si>
    <t xml:space="preserve">Therefore, further analysis should focus on the cost of good sold and debt management. </t>
  </si>
  <si>
    <t xml:space="preserve">Timberland has gained the power and ability to maneuver through it operations and gain access to resources from the capital acquired through debts hence higher returns. However, the high  Return to Equity ratio for Timberland imply the high risk that investors should face whenever any unforeseen situation happens; the probability to obtain compensation is such scenarios is low. </t>
  </si>
  <si>
    <t xml:space="preserve">Pelican has a lower financial leverage degree than Timberland. Timberland's earnings are more volatile posing risk to common stockholders as reconfirmed in the lower times interest earned ratio. Pelican stands a better chance in covering its interest expense when faced by a reduction in the net income. </t>
  </si>
  <si>
    <t>Return on common equity</t>
  </si>
  <si>
    <t xml:space="preserve"> = Earnings available for common stockholder/common stock equity</t>
  </si>
  <si>
    <t xml:space="preserve">The operations under Pelican are more profitable than Timberland as when the higher Net profit and Return on assets ratio are considered. However, the Operating profit margin is equal and return on common equity for Timberland is higher with a larger gap. The profitability of the two is rather similar.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</si>
</sst>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409]* #,##0.00_);_([$$-409]* \(#,##0.00\);_([$$-409]* &quot;-&quot;??_);_(@_)"/>
  </numFmts>
  <fonts count="7" x14ac:knownFonts="1">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i/>
      <sz val="11"/>
      <color theme="1"/>
      <name val="Times New Roman"/>
      <family val="1"/>
    </font>
    <font>
      <b/>
      <sz val="12"/>
      <color theme="1"/>
      <name val="Times New Roman"/>
      <family val="1"/>
    </font>
    <font>
      <sz val="12"/>
      <color theme="1"/>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2" fillId="0" borderId="0" xfId="0" applyFont="1"/>
    <xf numFmtId="44" fontId="2" fillId="0" borderId="0" xfId="1" applyFont="1"/>
    <xf numFmtId="44" fontId="2" fillId="2" borderId="0" xfId="1" applyFont="1" applyFill="1"/>
    <xf numFmtId="0" fontId="2" fillId="0" borderId="0" xfId="0" applyFont="1" applyAlignment="1">
      <alignment vertical="center" wrapText="1"/>
    </xf>
    <xf numFmtId="0" fontId="3" fillId="0" borderId="0" xfId="0" applyFont="1"/>
    <xf numFmtId="0" fontId="4" fillId="0" borderId="0" xfId="0" applyFont="1"/>
    <xf numFmtId="44" fontId="2" fillId="0" borderId="0" xfId="0" applyNumberFormat="1" applyFont="1"/>
    <xf numFmtId="44" fontId="2" fillId="0" borderId="0" xfId="1" applyNumberFormat="1" applyFont="1"/>
    <xf numFmtId="164" fontId="2" fillId="0" borderId="0" xfId="0" applyNumberFormat="1" applyFont="1"/>
    <xf numFmtId="44" fontId="2" fillId="2" borderId="0" xfId="1" applyNumberFormat="1" applyFont="1" applyFill="1"/>
    <xf numFmtId="164" fontId="2" fillId="2" borderId="0" xfId="0" applyNumberFormat="1" applyFont="1" applyFill="1"/>
    <xf numFmtId="0" fontId="2" fillId="0" borderId="0" xfId="0" applyFont="1" applyAlignment="1">
      <alignment horizontal="center"/>
    </xf>
    <xf numFmtId="0" fontId="2" fillId="0" borderId="0" xfId="0" applyFont="1" applyAlignment="1">
      <alignment wrapText="1"/>
    </xf>
    <xf numFmtId="0" fontId="5" fillId="0" borderId="0" xfId="0" applyFont="1"/>
    <xf numFmtId="1" fontId="2" fillId="0" borderId="0" xfId="1" applyNumberFormat="1" applyFont="1"/>
    <xf numFmtId="44" fontId="3" fillId="2" borderId="0" xfId="1" applyFont="1" applyFill="1"/>
    <xf numFmtId="0" fontId="6" fillId="0" borderId="0" xfId="0" applyFont="1"/>
    <xf numFmtId="0" fontId="5" fillId="0" borderId="0" xfId="0" applyFont="1" applyAlignment="1">
      <alignment vertical="center"/>
    </xf>
    <xf numFmtId="0" fontId="2" fillId="2" borderId="0" xfId="0" applyFont="1" applyFill="1"/>
    <xf numFmtId="0" fontId="2" fillId="2" borderId="0" xfId="0" applyNumberFormat="1" applyFont="1" applyFill="1"/>
    <xf numFmtId="9" fontId="2" fillId="0" borderId="0" xfId="2" applyFont="1"/>
    <xf numFmtId="10" fontId="2" fillId="0" borderId="0" xfId="2" applyNumberFormat="1" applyFont="1"/>
    <xf numFmtId="9" fontId="2" fillId="0" borderId="0" xfId="0" applyNumberFormat="1" applyFont="1"/>
    <xf numFmtId="10" fontId="2" fillId="0" borderId="0" xfId="0" applyNumberFormat="1" applyFont="1"/>
    <xf numFmtId="9" fontId="3" fillId="0" borderId="0" xfId="0" applyNumberFormat="1" applyFont="1"/>
    <xf numFmtId="10" fontId="3" fillId="0" borderId="0" xfId="0" applyNumberFormat="1" applyFont="1"/>
    <xf numFmtId="10" fontId="2" fillId="2" borderId="0" xfId="0" applyNumberFormat="1" applyFont="1" applyFill="1"/>
    <xf numFmtId="10" fontId="3" fillId="2" borderId="0" xfId="0" applyNumberFormat="1" applyFont="1" applyFill="1"/>
    <xf numFmtId="9" fontId="2" fillId="2" borderId="0" xfId="0" applyNumberFormat="1" applyFont="1" applyFill="1"/>
    <xf numFmtId="2" fontId="2" fillId="2" borderId="0" xfId="0" applyNumberFormat="1" applyFont="1" applyFill="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C13" sqref="C13"/>
    </sheetView>
  </sheetViews>
  <sheetFormatPr defaultRowHeight="15" x14ac:dyDescent="0.25"/>
  <cols>
    <col min="1" max="2" width="9.140625" style="1"/>
    <col min="3" max="3" width="36.42578125" style="1" customWidth="1"/>
    <col min="4" max="4" width="12.7109375" style="1" customWidth="1"/>
    <col min="5" max="5" width="14" style="1" bestFit="1" customWidth="1"/>
    <col min="6" max="6" width="36.7109375" style="1" customWidth="1"/>
    <col min="7" max="16384" width="9.140625" style="1"/>
  </cols>
  <sheetData>
    <row r="1" spans="1:6" x14ac:dyDescent="0.25">
      <c r="A1" s="1" t="s">
        <v>0</v>
      </c>
      <c r="B1" s="5" t="s">
        <v>1</v>
      </c>
    </row>
    <row r="2" spans="1:6" x14ac:dyDescent="0.25">
      <c r="A2" s="1" t="s">
        <v>17</v>
      </c>
      <c r="C2" s="12" t="s">
        <v>3</v>
      </c>
      <c r="D2" s="12"/>
      <c r="E2" s="12"/>
      <c r="F2" s="1" t="s">
        <v>2</v>
      </c>
    </row>
    <row r="3" spans="1:6" x14ac:dyDescent="0.25">
      <c r="C3" s="12" t="s">
        <v>4</v>
      </c>
      <c r="D3" s="12"/>
      <c r="E3" s="12"/>
    </row>
    <row r="4" spans="1:6" x14ac:dyDescent="0.25">
      <c r="C4" s="12" t="s">
        <v>5</v>
      </c>
      <c r="D4" s="12"/>
      <c r="E4" s="12"/>
    </row>
    <row r="6" spans="1:6" x14ac:dyDescent="0.25">
      <c r="C6" s="1" t="s">
        <v>20</v>
      </c>
      <c r="D6" s="2"/>
      <c r="E6" s="2">
        <v>360000</v>
      </c>
    </row>
    <row r="7" spans="1:6" x14ac:dyDescent="0.25">
      <c r="D7" s="2"/>
      <c r="E7" s="2"/>
    </row>
    <row r="8" spans="1:6" x14ac:dyDescent="0.25">
      <c r="C8" s="1" t="s">
        <v>6</v>
      </c>
      <c r="D8" s="2"/>
      <c r="E8" s="2"/>
    </row>
    <row r="9" spans="1:6" x14ac:dyDescent="0.25">
      <c r="C9" s="1" t="s">
        <v>8</v>
      </c>
      <c r="D9" s="2">
        <f>12*8000</f>
        <v>96000</v>
      </c>
      <c r="E9" s="2"/>
    </row>
    <row r="10" spans="1:6" x14ac:dyDescent="0.25">
      <c r="C10" s="1" t="s">
        <v>7</v>
      </c>
      <c r="D10" s="2">
        <v>48000</v>
      </c>
      <c r="E10" s="2"/>
    </row>
    <row r="11" spans="1:6" x14ac:dyDescent="0.25">
      <c r="C11" s="1" t="s">
        <v>140</v>
      </c>
      <c r="D11" s="2">
        <v>36000</v>
      </c>
      <c r="E11" s="2"/>
    </row>
    <row r="12" spans="1:6" x14ac:dyDescent="0.25">
      <c r="C12" s="1" t="s">
        <v>9</v>
      </c>
      <c r="D12" s="2">
        <v>34600</v>
      </c>
      <c r="E12" s="2"/>
    </row>
    <row r="13" spans="1:6" x14ac:dyDescent="0.25">
      <c r="C13" s="1" t="s">
        <v>141</v>
      </c>
      <c r="D13" s="2">
        <v>10400</v>
      </c>
      <c r="E13" s="2"/>
    </row>
    <row r="14" spans="1:6" x14ac:dyDescent="0.25">
      <c r="C14" s="1" t="s">
        <v>10</v>
      </c>
      <c r="D14" s="2">
        <v>17000</v>
      </c>
      <c r="E14" s="2"/>
    </row>
    <row r="15" spans="1:6" x14ac:dyDescent="0.25">
      <c r="C15" s="1" t="s">
        <v>11</v>
      </c>
      <c r="D15" s="2">
        <f>12*2700</f>
        <v>32400</v>
      </c>
      <c r="E15" s="2"/>
    </row>
    <row r="16" spans="1:6" x14ac:dyDescent="0.25">
      <c r="C16" s="1" t="s">
        <v>12</v>
      </c>
      <c r="D16" s="2">
        <v>15600</v>
      </c>
      <c r="E16" s="2"/>
    </row>
    <row r="17" spans="1:6" x14ac:dyDescent="0.25">
      <c r="C17" s="1" t="s">
        <v>13</v>
      </c>
      <c r="D17" s="2">
        <v>15000</v>
      </c>
      <c r="E17" s="2"/>
    </row>
    <row r="18" spans="1:6" x14ac:dyDescent="0.25">
      <c r="D18" s="2"/>
      <c r="E18" s="2"/>
    </row>
    <row r="19" spans="1:6" x14ac:dyDescent="0.25">
      <c r="C19" s="1" t="s">
        <v>14</v>
      </c>
      <c r="D19" s="2"/>
      <c r="E19" s="3">
        <f>SUM(D9:D17)</f>
        <v>305000</v>
      </c>
    </row>
    <row r="20" spans="1:6" x14ac:dyDescent="0.25">
      <c r="C20" s="1" t="s">
        <v>15</v>
      </c>
      <c r="D20" s="2"/>
      <c r="E20" s="3">
        <f>E6-E19</f>
        <v>55000</v>
      </c>
      <c r="F20" s="6" t="s">
        <v>21</v>
      </c>
    </row>
    <row r="21" spans="1:6" x14ac:dyDescent="0.25">
      <c r="C21" s="1" t="s">
        <v>19</v>
      </c>
      <c r="D21" s="2"/>
      <c r="E21" s="3">
        <f>0.3*E20</f>
        <v>16500</v>
      </c>
      <c r="F21" s="6" t="s">
        <v>22</v>
      </c>
    </row>
    <row r="22" spans="1:6" x14ac:dyDescent="0.25">
      <c r="C22" s="1" t="s">
        <v>16</v>
      </c>
      <c r="D22" s="2"/>
      <c r="E22" s="3">
        <f>E20-E21</f>
        <v>38500</v>
      </c>
      <c r="F22" s="6" t="s">
        <v>23</v>
      </c>
    </row>
    <row r="23" spans="1:6" x14ac:dyDescent="0.25">
      <c r="D23" s="2"/>
      <c r="E23" s="2"/>
    </row>
    <row r="25" spans="1:6" ht="45" customHeight="1" x14ac:dyDescent="0.25">
      <c r="A25" s="4" t="s">
        <v>18</v>
      </c>
      <c r="C25" s="13" t="s">
        <v>139</v>
      </c>
      <c r="D25" s="13"/>
      <c r="E25" s="13"/>
      <c r="F25" s="13"/>
    </row>
  </sheetData>
  <mergeCells count="4">
    <mergeCell ref="C2:E2"/>
    <mergeCell ref="C3:E3"/>
    <mergeCell ref="C4:E4"/>
    <mergeCell ref="C25:F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3" sqref="C3:H3"/>
    </sheetView>
  </sheetViews>
  <sheetFormatPr defaultRowHeight="15" x14ac:dyDescent="0.25"/>
  <cols>
    <col min="1" max="2" width="9.140625" style="1"/>
    <col min="3" max="3" width="35" style="1" customWidth="1"/>
    <col min="4" max="4" width="11.85546875" style="1" customWidth="1"/>
    <col min="5" max="5" width="10.42578125" style="1" bestFit="1" customWidth="1"/>
    <col min="6" max="6" width="38.140625" style="1" customWidth="1"/>
    <col min="7" max="7" width="12" style="1" customWidth="1"/>
    <col min="8" max="8" width="10.42578125" style="1" bestFit="1" customWidth="1"/>
    <col min="9" max="16384" width="9.140625" style="1"/>
  </cols>
  <sheetData>
    <row r="1" spans="1:8" x14ac:dyDescent="0.25">
      <c r="A1" s="1" t="s">
        <v>25</v>
      </c>
      <c r="B1" s="5" t="s">
        <v>24</v>
      </c>
    </row>
    <row r="3" spans="1:8" x14ac:dyDescent="0.25">
      <c r="C3" s="12" t="s">
        <v>26</v>
      </c>
      <c r="D3" s="12"/>
      <c r="E3" s="12"/>
      <c r="F3" s="12"/>
      <c r="G3" s="12"/>
      <c r="H3" s="12"/>
    </row>
    <row r="4" spans="1:8" x14ac:dyDescent="0.25">
      <c r="C4" s="12" t="s">
        <v>132</v>
      </c>
      <c r="D4" s="12"/>
      <c r="E4" s="12"/>
      <c r="F4" s="12"/>
      <c r="G4" s="12"/>
      <c r="H4" s="12"/>
    </row>
    <row r="5" spans="1:8" x14ac:dyDescent="0.25">
      <c r="C5" s="12" t="s">
        <v>27</v>
      </c>
      <c r="D5" s="12"/>
      <c r="E5" s="12"/>
      <c r="F5" s="12"/>
      <c r="G5" s="12"/>
      <c r="H5" s="12"/>
    </row>
    <row r="6" spans="1:8" x14ac:dyDescent="0.25">
      <c r="C6" s="5" t="s">
        <v>28</v>
      </c>
      <c r="F6" s="5" t="s">
        <v>49</v>
      </c>
    </row>
    <row r="7" spans="1:8" x14ac:dyDescent="0.25">
      <c r="C7" s="1" t="s">
        <v>29</v>
      </c>
      <c r="D7" s="7"/>
      <c r="E7" s="7"/>
      <c r="F7" s="5" t="s">
        <v>50</v>
      </c>
    </row>
    <row r="8" spans="1:8" x14ac:dyDescent="0.25">
      <c r="C8" s="1" t="s">
        <v>31</v>
      </c>
      <c r="D8" s="8">
        <v>215</v>
      </c>
      <c r="E8" s="8"/>
      <c r="F8" s="1" t="s">
        <v>30</v>
      </c>
      <c r="H8" s="9"/>
    </row>
    <row r="9" spans="1:8" x14ac:dyDescent="0.25">
      <c r="C9" s="1" t="s">
        <v>32</v>
      </c>
      <c r="D9" s="8">
        <v>450</v>
      </c>
      <c r="E9" s="8"/>
      <c r="F9" s="1" t="s">
        <v>46</v>
      </c>
      <c r="G9" s="9">
        <v>220</v>
      </c>
      <c r="H9" s="9"/>
    </row>
    <row r="10" spans="1:8" x14ac:dyDescent="0.25">
      <c r="C10" s="1" t="s">
        <v>33</v>
      </c>
      <c r="D10" s="8">
        <v>375</v>
      </c>
      <c r="E10" s="8"/>
      <c r="F10" s="1" t="s">
        <v>47</v>
      </c>
      <c r="G10" s="9">
        <v>55</v>
      </c>
      <c r="H10" s="9"/>
    </row>
    <row r="11" spans="1:8" x14ac:dyDescent="0.25">
      <c r="C11" s="1" t="s">
        <v>34</v>
      </c>
      <c r="D11" s="8">
        <v>75</v>
      </c>
      <c r="E11" s="8"/>
      <c r="F11" s="1" t="s">
        <v>48</v>
      </c>
      <c r="G11" s="9">
        <v>475</v>
      </c>
      <c r="H11" s="9"/>
    </row>
    <row r="12" spans="1:8" x14ac:dyDescent="0.25">
      <c r="C12" s="5" t="s">
        <v>42</v>
      </c>
      <c r="D12" s="8"/>
      <c r="E12" s="8">
        <f>SUM(D8:D11)</f>
        <v>1115</v>
      </c>
      <c r="F12" s="5" t="s">
        <v>55</v>
      </c>
      <c r="G12" s="9"/>
      <c r="H12" s="9">
        <f>SUM(G9:G11)</f>
        <v>750</v>
      </c>
    </row>
    <row r="13" spans="1:8" x14ac:dyDescent="0.25">
      <c r="D13" s="8"/>
      <c r="E13" s="8"/>
      <c r="G13" s="9"/>
      <c r="H13" s="9"/>
    </row>
    <row r="14" spans="1:8" x14ac:dyDescent="0.25">
      <c r="C14" s="1" t="s">
        <v>35</v>
      </c>
      <c r="D14" s="8"/>
      <c r="E14" s="8"/>
      <c r="F14" s="5" t="s">
        <v>56</v>
      </c>
      <c r="H14" s="9">
        <v>420</v>
      </c>
    </row>
    <row r="15" spans="1:8" x14ac:dyDescent="0.25">
      <c r="C15" s="1" t="s">
        <v>36</v>
      </c>
      <c r="D15" s="8">
        <v>225</v>
      </c>
      <c r="E15" s="8"/>
      <c r="F15" s="5"/>
      <c r="H15" s="9"/>
    </row>
    <row r="16" spans="1:8" x14ac:dyDescent="0.25">
      <c r="C16" s="1" t="s">
        <v>37</v>
      </c>
      <c r="D16" s="8">
        <v>140</v>
      </c>
      <c r="E16" s="8"/>
      <c r="F16" s="5" t="s">
        <v>59</v>
      </c>
      <c r="G16" s="9"/>
      <c r="H16" s="9">
        <f>H12+H14</f>
        <v>1170</v>
      </c>
    </row>
    <row r="17" spans="3:8" x14ac:dyDescent="0.25">
      <c r="C17" s="1" t="s">
        <v>38</v>
      </c>
      <c r="D17" s="8">
        <v>170</v>
      </c>
      <c r="E17" s="8"/>
      <c r="F17" s="5"/>
      <c r="G17" s="9"/>
      <c r="H17" s="9"/>
    </row>
    <row r="18" spans="3:8" x14ac:dyDescent="0.25">
      <c r="C18" s="1" t="s">
        <v>39</v>
      </c>
      <c r="D18" s="8">
        <v>100</v>
      </c>
      <c r="E18" s="8"/>
      <c r="F18" s="5" t="s">
        <v>51</v>
      </c>
      <c r="G18" s="9"/>
      <c r="H18" s="9"/>
    </row>
    <row r="19" spans="3:8" x14ac:dyDescent="0.25">
      <c r="C19" s="1" t="s">
        <v>133</v>
      </c>
      <c r="D19" s="8">
        <v>420</v>
      </c>
      <c r="E19" s="8"/>
      <c r="F19" s="1" t="s">
        <v>52</v>
      </c>
      <c r="G19" s="9">
        <v>90</v>
      </c>
      <c r="H19" s="9"/>
    </row>
    <row r="20" spans="3:8" x14ac:dyDescent="0.25">
      <c r="C20" s="1" t="s">
        <v>40</v>
      </c>
      <c r="D20" s="8">
        <v>25</v>
      </c>
      <c r="E20" s="8"/>
      <c r="F20" s="1" t="s">
        <v>134</v>
      </c>
      <c r="G20" s="9">
        <v>100</v>
      </c>
      <c r="H20" s="9"/>
    </row>
    <row r="21" spans="3:8" x14ac:dyDescent="0.25">
      <c r="C21" s="1" t="s">
        <v>43</v>
      </c>
      <c r="D21" s="8">
        <f>SUM(D15:D20)</f>
        <v>1080</v>
      </c>
      <c r="E21" s="8"/>
      <c r="F21" s="1" t="s">
        <v>53</v>
      </c>
      <c r="G21" s="9">
        <v>360</v>
      </c>
      <c r="H21" s="9"/>
    </row>
    <row r="22" spans="3:8" x14ac:dyDescent="0.25">
      <c r="C22" s="1" t="s">
        <v>41</v>
      </c>
      <c r="D22" s="8">
        <v>265</v>
      </c>
      <c r="E22" s="8"/>
      <c r="F22" s="1" t="s">
        <v>54</v>
      </c>
      <c r="G22" s="9">
        <v>210</v>
      </c>
      <c r="H22" s="9"/>
    </row>
    <row r="23" spans="3:8" x14ac:dyDescent="0.25">
      <c r="C23" s="5" t="s">
        <v>44</v>
      </c>
      <c r="D23" s="8"/>
      <c r="E23" s="8">
        <f>D21-D22</f>
        <v>815</v>
      </c>
      <c r="F23" s="5" t="s">
        <v>57</v>
      </c>
      <c r="G23" s="9"/>
      <c r="H23" s="9">
        <f>SUM(G19:G22)</f>
        <v>760</v>
      </c>
    </row>
    <row r="24" spans="3:8" x14ac:dyDescent="0.25">
      <c r="D24" s="8"/>
      <c r="E24" s="8"/>
      <c r="G24" s="9"/>
      <c r="H24" s="9"/>
    </row>
    <row r="25" spans="3:8" x14ac:dyDescent="0.25">
      <c r="C25" s="5" t="s">
        <v>45</v>
      </c>
      <c r="D25" s="8"/>
      <c r="E25" s="10">
        <f>E12+E23</f>
        <v>1930</v>
      </c>
      <c r="F25" s="5" t="s">
        <v>58</v>
      </c>
      <c r="G25" s="9"/>
      <c r="H25" s="11">
        <f>H16+H23</f>
        <v>1930</v>
      </c>
    </row>
    <row r="26" spans="3:8" x14ac:dyDescent="0.25">
      <c r="G26" s="9"/>
    </row>
  </sheetData>
  <mergeCells count="3">
    <mergeCell ref="C3:H3"/>
    <mergeCell ref="C4:H4"/>
    <mergeCell ref="C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K22" sqref="K22"/>
    </sheetView>
  </sheetViews>
  <sheetFormatPr defaultRowHeight="15" x14ac:dyDescent="0.25"/>
  <cols>
    <col min="1" max="2" width="9.140625" style="1"/>
    <col min="3" max="3" width="44.28515625" style="1" customWidth="1"/>
    <col min="4" max="4" width="13.5703125" style="2" customWidth="1"/>
    <col min="5" max="5" width="14.28515625" style="2" bestFit="1" customWidth="1"/>
    <col min="6" max="16384" width="9.140625" style="1"/>
  </cols>
  <sheetData>
    <row r="1" spans="1:7" ht="15.75" x14ac:dyDescent="0.25">
      <c r="A1" s="1" t="s">
        <v>60</v>
      </c>
      <c r="B1" s="14" t="s">
        <v>73</v>
      </c>
    </row>
    <row r="3" spans="1:7" x14ac:dyDescent="0.25">
      <c r="C3" s="12" t="s">
        <v>61</v>
      </c>
      <c r="D3" s="12"/>
      <c r="E3" s="12"/>
    </row>
    <row r="4" spans="1:7" x14ac:dyDescent="0.25">
      <c r="C4" s="12" t="s">
        <v>135</v>
      </c>
      <c r="D4" s="12"/>
      <c r="E4" s="12"/>
    </row>
    <row r="5" spans="1:7" x14ac:dyDescent="0.25">
      <c r="C5" s="12" t="s">
        <v>136</v>
      </c>
      <c r="D5" s="12"/>
      <c r="E5" s="12"/>
    </row>
    <row r="7" spans="1:7" x14ac:dyDescent="0.25">
      <c r="C7" s="1" t="s">
        <v>62</v>
      </c>
      <c r="D7" s="2">
        <v>928000</v>
      </c>
    </row>
    <row r="8" spans="1:7" x14ac:dyDescent="0.25">
      <c r="C8" s="1" t="s">
        <v>63</v>
      </c>
      <c r="D8" s="2">
        <v>377000</v>
      </c>
    </row>
    <row r="9" spans="1:7" x14ac:dyDescent="0.25">
      <c r="C9" s="5" t="s">
        <v>64</v>
      </c>
      <c r="E9" s="2">
        <f>SUM(D7:D8)</f>
        <v>1305000</v>
      </c>
    </row>
    <row r="11" spans="1:7" x14ac:dyDescent="0.25">
      <c r="C11" s="1" t="s">
        <v>65</v>
      </c>
    </row>
    <row r="12" spans="1:7" x14ac:dyDescent="0.25">
      <c r="C12" s="1" t="s">
        <v>134</v>
      </c>
      <c r="D12" s="2">
        <v>47000</v>
      </c>
    </row>
    <row r="13" spans="1:7" x14ac:dyDescent="0.25">
      <c r="C13" s="1" t="s">
        <v>66</v>
      </c>
      <c r="D13" s="16">
        <v>210000</v>
      </c>
      <c r="G13" s="6" t="s">
        <v>68</v>
      </c>
    </row>
    <row r="14" spans="1:7" x14ac:dyDescent="0.25">
      <c r="C14" s="5" t="s">
        <v>64</v>
      </c>
      <c r="E14" s="2">
        <f>SUM(D12:D13)</f>
        <v>257000</v>
      </c>
      <c r="G14" s="6" t="s">
        <v>69</v>
      </c>
    </row>
    <row r="16" spans="1:7" x14ac:dyDescent="0.25">
      <c r="C16" s="5" t="s">
        <v>67</v>
      </c>
      <c r="E16" s="2">
        <f>E9-E14</f>
        <v>1048000</v>
      </c>
    </row>
    <row r="17" spans="1:4" x14ac:dyDescent="0.25">
      <c r="C17" s="5"/>
    </row>
    <row r="18" spans="1:4" x14ac:dyDescent="0.25">
      <c r="C18" s="5"/>
    </row>
    <row r="20" spans="1:4" x14ac:dyDescent="0.25">
      <c r="A20" s="1" t="s">
        <v>18</v>
      </c>
      <c r="C20" s="5" t="s">
        <v>70</v>
      </c>
    </row>
    <row r="21" spans="1:4" x14ac:dyDescent="0.25">
      <c r="C21" s="5" t="s">
        <v>81</v>
      </c>
    </row>
    <row r="22" spans="1:4" x14ac:dyDescent="0.25">
      <c r="C22" s="1" t="s">
        <v>72</v>
      </c>
      <c r="D22" s="2">
        <v>377000</v>
      </c>
    </row>
    <row r="23" spans="1:4" x14ac:dyDescent="0.25">
      <c r="C23" s="1" t="s">
        <v>137</v>
      </c>
      <c r="D23" s="2">
        <v>47000</v>
      </c>
    </row>
    <row r="24" spans="1:4" x14ac:dyDescent="0.25">
      <c r="C24" s="1" t="s">
        <v>138</v>
      </c>
      <c r="D24" s="2">
        <f>D22-D23</f>
        <v>330000</v>
      </c>
    </row>
    <row r="25" spans="1:4" x14ac:dyDescent="0.25">
      <c r="C25" s="1" t="s">
        <v>74</v>
      </c>
      <c r="D25" s="15">
        <v>140000</v>
      </c>
    </row>
    <row r="26" spans="1:4" x14ac:dyDescent="0.25">
      <c r="C26" s="5" t="s">
        <v>82</v>
      </c>
      <c r="D26" s="15"/>
    </row>
    <row r="27" spans="1:4" x14ac:dyDescent="0.25">
      <c r="C27" s="5" t="s">
        <v>75</v>
      </c>
      <c r="D27" s="16">
        <f>D24/D25</f>
        <v>2.3571428571428572</v>
      </c>
    </row>
    <row r="31" spans="1:4" ht="15.75" x14ac:dyDescent="0.25">
      <c r="A31" s="1" t="s">
        <v>76</v>
      </c>
      <c r="C31" s="18" t="s">
        <v>77</v>
      </c>
    </row>
    <row r="32" spans="1:4" ht="15.75" x14ac:dyDescent="0.25">
      <c r="C32" s="18" t="s">
        <v>81</v>
      </c>
    </row>
    <row r="33" spans="3:4" ht="15.75" x14ac:dyDescent="0.25">
      <c r="C33" s="17" t="s">
        <v>78</v>
      </c>
      <c r="D33" s="2">
        <v>210000</v>
      </c>
    </row>
    <row r="34" spans="3:4" x14ac:dyDescent="0.25">
      <c r="C34" s="1" t="s">
        <v>79</v>
      </c>
      <c r="D34" s="15">
        <v>140000</v>
      </c>
    </row>
    <row r="35" spans="3:4" x14ac:dyDescent="0.25">
      <c r="C35" s="5" t="s">
        <v>82</v>
      </c>
      <c r="D35" s="15"/>
    </row>
    <row r="36" spans="3:4" x14ac:dyDescent="0.25">
      <c r="C36" s="5" t="s">
        <v>80</v>
      </c>
      <c r="D36" s="16">
        <f>D33/D34</f>
        <v>1.5</v>
      </c>
    </row>
  </sheetData>
  <mergeCells count="3">
    <mergeCell ref="C3:E3"/>
    <mergeCell ref="C4:E4"/>
    <mergeCell ref="C5:E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workbookViewId="0">
      <selection activeCell="I14" sqref="I14"/>
    </sheetView>
  </sheetViews>
  <sheetFormatPr defaultRowHeight="15" x14ac:dyDescent="0.25"/>
  <cols>
    <col min="1" max="1" width="9.140625" style="1"/>
    <col min="2" max="2" width="32.140625" style="1" customWidth="1"/>
    <col min="3" max="3" width="21" style="1" customWidth="1"/>
    <col min="4" max="16384" width="9.140625" style="1"/>
  </cols>
  <sheetData>
    <row r="1" spans="1:6" ht="15.75" x14ac:dyDescent="0.25">
      <c r="A1" s="1" t="s">
        <v>84</v>
      </c>
      <c r="B1" s="14" t="s">
        <v>83</v>
      </c>
    </row>
    <row r="2" spans="1:6" s="5" customFormat="1" ht="14.25" x14ac:dyDescent="0.2">
      <c r="B2" s="5" t="s">
        <v>71</v>
      </c>
    </row>
    <row r="3" spans="1:6" x14ac:dyDescent="0.25">
      <c r="B3" s="1" t="s">
        <v>85</v>
      </c>
      <c r="C3" s="2">
        <v>2400000</v>
      </c>
    </row>
    <row r="4" spans="1:6" x14ac:dyDescent="0.25">
      <c r="B4" s="1" t="s">
        <v>142</v>
      </c>
      <c r="C4" s="2">
        <v>300000</v>
      </c>
    </row>
    <row r="5" spans="1:6" x14ac:dyDescent="0.25">
      <c r="B5" s="5" t="s">
        <v>82</v>
      </c>
      <c r="C5" s="2"/>
    </row>
    <row r="6" spans="1:6" x14ac:dyDescent="0.25">
      <c r="B6" s="1" t="s">
        <v>143</v>
      </c>
      <c r="C6" s="19">
        <f>C3/C4</f>
        <v>8</v>
      </c>
    </row>
    <row r="7" spans="1:6" x14ac:dyDescent="0.25">
      <c r="B7" s="1" t="s">
        <v>86</v>
      </c>
      <c r="C7" s="20">
        <f>C4/(C3/365)</f>
        <v>45.625</v>
      </c>
      <c r="D7" s="1" t="s">
        <v>87</v>
      </c>
      <c r="E7" s="1" t="s">
        <v>144</v>
      </c>
    </row>
    <row r="8" spans="1:6" x14ac:dyDescent="0.25">
      <c r="C8" s="2"/>
    </row>
    <row r="9" spans="1:6" x14ac:dyDescent="0.25">
      <c r="B9" s="1" t="s">
        <v>145</v>
      </c>
      <c r="C9" s="2"/>
    </row>
    <row r="10" spans="1:6" x14ac:dyDescent="0.25">
      <c r="C10" s="2"/>
    </row>
    <row r="13" spans="1:6" ht="54" customHeight="1" x14ac:dyDescent="0.25">
      <c r="A13" s="1" t="s">
        <v>18</v>
      </c>
      <c r="B13" s="13" t="s">
        <v>146</v>
      </c>
      <c r="C13" s="13"/>
      <c r="D13" s="13"/>
      <c r="E13" s="13"/>
      <c r="F13" s="13"/>
    </row>
  </sheetData>
  <mergeCells count="1">
    <mergeCell ref="B13:F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activeCell="E12" sqref="E12"/>
    </sheetView>
  </sheetViews>
  <sheetFormatPr defaultRowHeight="15" x14ac:dyDescent="0.25"/>
  <cols>
    <col min="1" max="1" width="9.140625" style="1"/>
    <col min="2" max="2" width="24.140625" style="1" customWidth="1"/>
    <col min="3" max="3" width="46.42578125" style="1" customWidth="1"/>
    <col min="4" max="4" width="9.140625" style="1"/>
    <col min="5" max="5" width="20.140625" style="1" customWidth="1"/>
    <col min="6" max="6" width="16.7109375" style="1" customWidth="1"/>
    <col min="7" max="16384" width="9.140625" style="1"/>
  </cols>
  <sheetData>
    <row r="1" spans="1:6" ht="15.75" x14ac:dyDescent="0.25">
      <c r="A1" s="1" t="s">
        <v>88</v>
      </c>
      <c r="B1" s="14" t="s">
        <v>89</v>
      </c>
    </row>
    <row r="3" spans="1:6" s="5" customFormat="1" ht="14.25" x14ac:dyDescent="0.2">
      <c r="B3" s="5" t="s">
        <v>96</v>
      </c>
      <c r="E3" s="5" t="s">
        <v>98</v>
      </c>
      <c r="F3" s="5" t="s">
        <v>100</v>
      </c>
    </row>
    <row r="4" spans="1:6" x14ac:dyDescent="0.25">
      <c r="B4" s="1" t="s">
        <v>94</v>
      </c>
      <c r="C4" s="1" t="s">
        <v>95</v>
      </c>
      <c r="D4" s="19">
        <f>36500000/50000000</f>
        <v>0.73</v>
      </c>
      <c r="E4" s="1">
        <v>0.15</v>
      </c>
      <c r="F4" s="1" t="s">
        <v>102</v>
      </c>
    </row>
    <row r="5" spans="1:6" x14ac:dyDescent="0.25">
      <c r="B5" s="1" t="s">
        <v>97</v>
      </c>
      <c r="C5" s="1" t="s">
        <v>107</v>
      </c>
      <c r="D5" s="19">
        <f>3000000/1000000</f>
        <v>3</v>
      </c>
      <c r="E5" s="1">
        <v>7.3</v>
      </c>
      <c r="F5" s="1" t="s">
        <v>101</v>
      </c>
    </row>
    <row r="6" spans="1:6" x14ac:dyDescent="0.25">
      <c r="B6" t="s">
        <v>99</v>
      </c>
      <c r="C6" s="1" t="s">
        <v>103</v>
      </c>
      <c r="D6" s="30">
        <f>(3000000+200000)/((1000000+200000)+((800000+100000)*(1/(1-0.4))))</f>
        <v>1.1851851851851851</v>
      </c>
      <c r="E6" s="1">
        <v>1.85</v>
      </c>
      <c r="F6" s="1" t="s">
        <v>101</v>
      </c>
    </row>
    <row r="8" spans="1:6" x14ac:dyDescent="0.25">
      <c r="B8" s="1" t="s">
        <v>147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opLeftCell="A5" workbookViewId="0">
      <selection activeCell="C26" sqref="C26"/>
    </sheetView>
  </sheetViews>
  <sheetFormatPr defaultRowHeight="15" x14ac:dyDescent="0.25"/>
  <cols>
    <col min="1" max="2" width="9.140625" style="1"/>
    <col min="3" max="3" width="40.5703125" style="1" customWidth="1"/>
    <col min="4" max="4" width="20.7109375" style="1" bestFit="1" customWidth="1"/>
    <col min="5" max="5" width="9.140625" style="5"/>
    <col min="6" max="16384" width="9.140625" style="1"/>
  </cols>
  <sheetData>
    <row r="1" spans="1:5" ht="15.75" x14ac:dyDescent="0.25">
      <c r="A1" s="1" t="s">
        <v>90</v>
      </c>
      <c r="B1" s="14" t="s">
        <v>91</v>
      </c>
    </row>
    <row r="3" spans="1:5" x14ac:dyDescent="0.25">
      <c r="C3" s="12" t="s">
        <v>114</v>
      </c>
      <c r="D3" s="12"/>
    </row>
    <row r="4" spans="1:5" x14ac:dyDescent="0.25">
      <c r="C4" s="12" t="s">
        <v>115</v>
      </c>
      <c r="D4" s="12"/>
    </row>
    <row r="5" spans="1:5" x14ac:dyDescent="0.25">
      <c r="C5" s="12" t="s">
        <v>5</v>
      </c>
      <c r="D5" s="12"/>
      <c r="E5" s="5">
        <v>2014</v>
      </c>
    </row>
    <row r="6" spans="1:5" x14ac:dyDescent="0.25">
      <c r="C6" s="1" t="s">
        <v>116</v>
      </c>
      <c r="D6" s="23">
        <v>1</v>
      </c>
      <c r="E6" s="25">
        <v>1</v>
      </c>
    </row>
    <row r="7" spans="1:5" x14ac:dyDescent="0.25">
      <c r="C7" s="1" t="s">
        <v>117</v>
      </c>
      <c r="D7" s="29">
        <f>21000000/30000000</f>
        <v>0.7</v>
      </c>
      <c r="E7" s="28">
        <v>0.65900000000000003</v>
      </c>
    </row>
    <row r="8" spans="1:5" x14ac:dyDescent="0.25">
      <c r="C8" s="5" t="s">
        <v>118</v>
      </c>
      <c r="D8" s="23">
        <f>D6-D7</f>
        <v>0.30000000000000004</v>
      </c>
      <c r="E8" s="26">
        <v>0.34100000000000003</v>
      </c>
    </row>
    <row r="9" spans="1:5" x14ac:dyDescent="0.25">
      <c r="C9" s="1" t="s">
        <v>119</v>
      </c>
    </row>
    <row r="10" spans="1:5" x14ac:dyDescent="0.25">
      <c r="C10" s="1" t="s">
        <v>120</v>
      </c>
      <c r="D10" s="24">
        <f>3000000/30000000</f>
        <v>0.1</v>
      </c>
      <c r="E10" s="26">
        <v>0.127</v>
      </c>
    </row>
    <row r="11" spans="1:5" x14ac:dyDescent="0.25">
      <c r="C11" s="1" t="s">
        <v>131</v>
      </c>
      <c r="D11" s="24">
        <f>1800000/30000000</f>
        <v>0.06</v>
      </c>
      <c r="E11" s="26">
        <v>6.3E-2</v>
      </c>
    </row>
    <row r="12" spans="1:5" x14ac:dyDescent="0.25">
      <c r="C12" s="1" t="s">
        <v>121</v>
      </c>
      <c r="D12" s="24">
        <f>200000/30000000</f>
        <v>6.6666666666666671E-3</v>
      </c>
      <c r="E12" s="26">
        <v>6.0000000000000001E-3</v>
      </c>
    </row>
    <row r="13" spans="1:5" x14ac:dyDescent="0.25">
      <c r="C13" s="1" t="s">
        <v>122</v>
      </c>
      <c r="D13" s="24">
        <f>1000000/30000000</f>
        <v>3.3333333333333333E-2</v>
      </c>
      <c r="E13" s="26">
        <v>3.5999999999999997E-2</v>
      </c>
    </row>
    <row r="14" spans="1:5" x14ac:dyDescent="0.25">
      <c r="C14" s="5" t="s">
        <v>123</v>
      </c>
      <c r="D14" s="29">
        <f>SUM(D10:D13)</f>
        <v>0.19999999999999998</v>
      </c>
      <c r="E14" s="28">
        <v>0.23200000000000001</v>
      </c>
    </row>
    <row r="15" spans="1:5" x14ac:dyDescent="0.25">
      <c r="C15" s="1" t="s">
        <v>124</v>
      </c>
      <c r="D15" s="23">
        <f>3000000/30000000</f>
        <v>0.1</v>
      </c>
      <c r="E15" s="26">
        <v>0.109</v>
      </c>
    </row>
    <row r="16" spans="1:5" x14ac:dyDescent="0.25">
      <c r="C16" s="1" t="s">
        <v>125</v>
      </c>
      <c r="D16" s="27">
        <f>1000000/30000000</f>
        <v>3.3333333333333333E-2</v>
      </c>
      <c r="E16" s="28">
        <v>1.4999999999999999E-2</v>
      </c>
    </row>
    <row r="17" spans="3:5" x14ac:dyDescent="0.25">
      <c r="C17" s="1" t="s">
        <v>126</v>
      </c>
      <c r="D17" s="24">
        <f>D15-D16</f>
        <v>6.666666666666668E-2</v>
      </c>
      <c r="E17" s="26">
        <v>9.4E-2</v>
      </c>
    </row>
    <row r="18" spans="3:5" x14ac:dyDescent="0.25">
      <c r="C18" s="1" t="s">
        <v>127</v>
      </c>
      <c r="D18" s="24">
        <f>0.4*D17</f>
        <v>2.6666666666666672E-2</v>
      </c>
      <c r="E18" s="26">
        <v>3.7999999999999999E-2</v>
      </c>
    </row>
    <row r="19" spans="3:5" x14ac:dyDescent="0.25">
      <c r="C19" s="1" t="s">
        <v>128</v>
      </c>
      <c r="D19" s="23">
        <f>D17-D18</f>
        <v>4.0000000000000008E-2</v>
      </c>
      <c r="E19" s="26">
        <v>5.6000000000000001E-2</v>
      </c>
    </row>
    <row r="20" spans="3:5" x14ac:dyDescent="0.25">
      <c r="C20" s="1" t="s">
        <v>148</v>
      </c>
      <c r="D20" s="24">
        <f>100000/30000000</f>
        <v>3.3333333333333335E-3</v>
      </c>
      <c r="E20" s="26">
        <v>1E-3</v>
      </c>
    </row>
    <row r="21" spans="3:5" x14ac:dyDescent="0.25">
      <c r="C21" s="1" t="s">
        <v>129</v>
      </c>
      <c r="D21" s="24">
        <f>D19-D20</f>
        <v>3.6666666666666674E-2</v>
      </c>
      <c r="E21" s="26">
        <v>5.5E-2</v>
      </c>
    </row>
    <row r="23" spans="3:5" x14ac:dyDescent="0.25">
      <c r="C23" s="1" t="s">
        <v>149</v>
      </c>
    </row>
    <row r="24" spans="3:5" x14ac:dyDescent="0.25">
      <c r="C24" s="1" t="s">
        <v>130</v>
      </c>
    </row>
    <row r="25" spans="3:5" x14ac:dyDescent="0.25">
      <c r="C25" s="1" t="s">
        <v>150</v>
      </c>
    </row>
    <row r="26" spans="3:5" x14ac:dyDescent="0.25">
      <c r="C26" s="1" t="s">
        <v>151</v>
      </c>
    </row>
  </sheetData>
  <mergeCells count="3">
    <mergeCell ref="C3:D3"/>
    <mergeCell ref="C4:D4"/>
    <mergeCell ref="C5:D5"/>
  </mergeCells>
  <pageMargins left="0.7" right="0.7" top="0.75" bottom="0.75" header="0.3" footer="0.3"/>
  <ignoredErrors>
    <ignoredError sqref="D18 D20"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16" workbookViewId="0">
      <selection activeCell="H22" sqref="H22"/>
    </sheetView>
  </sheetViews>
  <sheetFormatPr defaultRowHeight="15" x14ac:dyDescent="0.25"/>
  <cols>
    <col min="1" max="2" width="9.140625" style="1"/>
    <col min="3" max="3" width="24.7109375" style="1" customWidth="1"/>
    <col min="4" max="4" width="57.7109375" style="1" customWidth="1"/>
    <col min="5" max="16384" width="9.140625" style="1"/>
  </cols>
  <sheetData>
    <row r="1" spans="1:7" ht="15.75" x14ac:dyDescent="0.25">
      <c r="A1" s="1" t="s">
        <v>92</v>
      </c>
      <c r="B1" s="14" t="s">
        <v>93</v>
      </c>
    </row>
    <row r="3" spans="1:7" x14ac:dyDescent="0.25">
      <c r="A3" s="1" t="s">
        <v>17</v>
      </c>
      <c r="B3" s="1">
        <v>1</v>
      </c>
      <c r="C3" s="1" t="s">
        <v>104</v>
      </c>
      <c r="D3" s="1" t="s">
        <v>95</v>
      </c>
    </row>
    <row r="4" spans="1:7" x14ac:dyDescent="0.25">
      <c r="D4" s="1" t="s">
        <v>105</v>
      </c>
      <c r="E4" s="19">
        <f>1000000/10000000</f>
        <v>0.1</v>
      </c>
      <c r="F4" s="21">
        <f>E4</f>
        <v>0.1</v>
      </c>
    </row>
    <row r="5" spans="1:7" x14ac:dyDescent="0.25">
      <c r="D5" s="1" t="s">
        <v>106</v>
      </c>
      <c r="E5" s="19">
        <f>5000000/10000000</f>
        <v>0.5</v>
      </c>
      <c r="F5" s="21">
        <f>E5</f>
        <v>0.5</v>
      </c>
    </row>
    <row r="7" spans="1:7" x14ac:dyDescent="0.25">
      <c r="B7" s="1">
        <v>2</v>
      </c>
      <c r="C7" s="1" t="s">
        <v>97</v>
      </c>
      <c r="D7" s="1" t="s">
        <v>107</v>
      </c>
    </row>
    <row r="8" spans="1:7" x14ac:dyDescent="0.25">
      <c r="D8" s="1" t="s">
        <v>105</v>
      </c>
      <c r="E8" s="19">
        <f>6250000/100000</f>
        <v>62.5</v>
      </c>
    </row>
    <row r="9" spans="1:7" x14ac:dyDescent="0.25">
      <c r="D9" s="1" t="s">
        <v>106</v>
      </c>
      <c r="E9" s="19">
        <f>6250000/500000</f>
        <v>12.5</v>
      </c>
    </row>
    <row r="11" spans="1:7" ht="49.5" customHeight="1" x14ac:dyDescent="0.25">
      <c r="C11" s="13" t="s">
        <v>153</v>
      </c>
      <c r="D11" s="13"/>
      <c r="E11" s="13"/>
      <c r="F11" s="13"/>
      <c r="G11" s="13"/>
    </row>
    <row r="13" spans="1:7" x14ac:dyDescent="0.25">
      <c r="A13" s="1" t="s">
        <v>18</v>
      </c>
      <c r="B13" s="1">
        <v>1</v>
      </c>
      <c r="C13" s="1" t="s">
        <v>108</v>
      </c>
      <c r="D13" s="1" t="s">
        <v>112</v>
      </c>
    </row>
    <row r="14" spans="1:7" x14ac:dyDescent="0.25">
      <c r="D14" s="1" t="s">
        <v>105</v>
      </c>
      <c r="E14" s="19">
        <f>6250000/25000000</f>
        <v>0.25</v>
      </c>
      <c r="F14" s="22">
        <f>E14</f>
        <v>0.25</v>
      </c>
    </row>
    <row r="15" spans="1:7" x14ac:dyDescent="0.25">
      <c r="D15" s="1" t="s">
        <v>106</v>
      </c>
      <c r="E15" s="19">
        <f>6250000/25000000</f>
        <v>0.25</v>
      </c>
      <c r="F15" s="22">
        <f>E15</f>
        <v>0.25</v>
      </c>
    </row>
    <row r="17" spans="1:6" x14ac:dyDescent="0.25">
      <c r="B17" s="1">
        <v>2</v>
      </c>
      <c r="C17" s="1" t="s">
        <v>109</v>
      </c>
      <c r="D17" s="1" t="s">
        <v>111</v>
      </c>
    </row>
    <row r="18" spans="1:6" x14ac:dyDescent="0.25">
      <c r="D18" s="1" t="s">
        <v>105</v>
      </c>
      <c r="E18" s="19">
        <f>3690000/25000000</f>
        <v>0.14760000000000001</v>
      </c>
      <c r="F18" s="22">
        <f>E18</f>
        <v>0.14760000000000001</v>
      </c>
    </row>
    <row r="19" spans="1:6" x14ac:dyDescent="0.25">
      <c r="D19" s="1" t="s">
        <v>106</v>
      </c>
      <c r="E19" s="19">
        <f>3450000/25000000</f>
        <v>0.13800000000000001</v>
      </c>
      <c r="F19" s="22">
        <f>E19</f>
        <v>0.13800000000000001</v>
      </c>
    </row>
    <row r="21" spans="1:6" x14ac:dyDescent="0.25">
      <c r="B21" s="1">
        <v>3</v>
      </c>
      <c r="C21" s="1" t="s">
        <v>110</v>
      </c>
      <c r="D21" s="1" t="s">
        <v>113</v>
      </c>
    </row>
    <row r="22" spans="1:6" x14ac:dyDescent="0.25">
      <c r="D22" s="1" t="s">
        <v>105</v>
      </c>
      <c r="E22" s="19">
        <f>3690000/10000000</f>
        <v>0.36899999999999999</v>
      </c>
      <c r="F22" s="22">
        <f t="shared" ref="F22:F23" si="0">E22</f>
        <v>0.36899999999999999</v>
      </c>
    </row>
    <row r="23" spans="1:6" x14ac:dyDescent="0.25">
      <c r="D23" s="1" t="s">
        <v>106</v>
      </c>
      <c r="E23" s="19">
        <f>3450000/10000000</f>
        <v>0.34499999999999997</v>
      </c>
      <c r="F23" s="22">
        <f t="shared" si="0"/>
        <v>0.34499999999999997</v>
      </c>
    </row>
    <row r="25" spans="1:6" x14ac:dyDescent="0.25">
      <c r="B25" s="1">
        <v>4</v>
      </c>
      <c r="C25" s="1" t="s">
        <v>154</v>
      </c>
      <c r="D25" s="1" t="s">
        <v>155</v>
      </c>
    </row>
    <row r="26" spans="1:6" x14ac:dyDescent="0.25">
      <c r="D26" s="1" t="s">
        <v>105</v>
      </c>
      <c r="E26" s="19">
        <f>3690000/9000000</f>
        <v>0.41</v>
      </c>
      <c r="F26" s="22">
        <f t="shared" ref="F26:F27" si="1">E26</f>
        <v>0.41</v>
      </c>
    </row>
    <row r="27" spans="1:6" x14ac:dyDescent="0.25">
      <c r="D27" s="1" t="s">
        <v>106</v>
      </c>
      <c r="E27" s="19">
        <f>3450000/5000000</f>
        <v>0.69</v>
      </c>
      <c r="F27" s="22">
        <f t="shared" si="1"/>
        <v>0.69</v>
      </c>
    </row>
    <row r="29" spans="1:6" ht="48" customHeight="1" x14ac:dyDescent="0.25">
      <c r="C29" s="13" t="s">
        <v>156</v>
      </c>
      <c r="D29" s="13"/>
      <c r="E29" s="13"/>
      <c r="F29" s="13"/>
    </row>
    <row r="31" spans="1:6" ht="62.25" customHeight="1" x14ac:dyDescent="0.25">
      <c r="A31" s="1" t="s">
        <v>76</v>
      </c>
      <c r="C31" s="13" t="s">
        <v>152</v>
      </c>
      <c r="D31" s="13"/>
      <c r="E31" s="13"/>
      <c r="F31" s="13"/>
    </row>
  </sheetData>
  <mergeCells count="3">
    <mergeCell ref="C11:G11"/>
    <mergeCell ref="C29:F29"/>
    <mergeCell ref="C31:F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P3-3</vt:lpstr>
      <vt:lpstr>P3-6</vt:lpstr>
      <vt:lpstr>P3-10</vt:lpstr>
      <vt:lpstr>P3-16</vt:lpstr>
      <vt:lpstr>P3-18</vt:lpstr>
      <vt:lpstr>P3-20</vt:lpstr>
      <vt:lpstr>P3-21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2019-01-27T10:06:39Z</dcterms:created>
  <dcterms:modified xsi:type="dcterms:W3CDTF">2019-01-27T19:16:10Z</dcterms:modified>
</cp:coreProperties>
</file>